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oup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<sst xmlns="http://schemas.openxmlformats.org/spreadsheetml/2006/main" count="107" uniqueCount="48">
  <si>
    <t>Group stage sheet · group of four</t>
  </si>
  <si>
    <t>Group</t>
  </si>
  <si>
    <t>Type the players in the yellow cells, then each match’s games and total points. The standings, ranking and the reason for each position work themselves out.</t>
  </si>
  <si>
    <t>Seed</t>
  </si>
  <si>
    <t>Player</t>
  </si>
  <si>
    <t>Player 1</t>
  </si>
  <si>
    <t>Player 2</t>
  </si>
  <si>
    <t>Player 3</t>
  </si>
  <si>
    <t>Player 4</t>
  </si>
  <si>
    <t>Matches in BWF order of play (Regulation 16.4)</t>
  </si>
  <si>
    <t>Round</t>
  </si>
  <si>
    <t>Games P1</t>
  </si>
  <si>
    <t>Games P2</t>
  </si>
  <si>
    <t>Points P1</t>
  </si>
  <si>
    <t>Points P2</t>
  </si>
  <si>
    <t>Winner</t>
  </si>
  <si>
    <t>Winner seed</t>
  </si>
  <si>
    <t>Loser seed</t>
  </si>
  <si>
    <t>Standings (in seed order)</t>
  </si>
  <si>
    <t>Rank</t>
  </si>
  <si>
    <t>Played</t>
  </si>
  <si>
    <t>Won</t>
  </si>
  <si>
    <t>Games won</t>
  </si>
  <si>
    <t>Games lost</t>
  </si>
  <si>
    <t>Game diff</t>
  </si>
  <si>
    <t>Points won</t>
  </si>
  <si>
    <t>Points lost</t>
  </si>
  <si>
    <t>Point diff</t>
  </si>
  <si>
    <t>Decided by</t>
  </si>
  <si>
    <t>Level on wins</t>
  </si>
  <si>
    <t>…and games</t>
  </si>
  <si>
    <t>…and points</t>
  </si>
  <si>
    <t>Sort key</t>
  </si>
  <si>
    <t>Final order</t>
  </si>
  <si>
    <t>Place</t>
  </si>
  <si>
    <t>Workings: does the player on the left rank above the player along the top? Leave these alone.</t>
  </si>
  <si>
    <t>How the ranking works (BWF General Competition Regulations, Regulation 16.2)</t>
  </si>
  <si>
    <t>1. Most matches won. 2. If exactly two players are level, the winner of their match ranks higher.</t>
  </si>
  <si>
    <t>3. If three or more are level, the bigger game difference (games won minus games lost across all group matches) ranks higher.</t>
  </si>
  <si>
    <t>4. If three or more are still level, the bigger point difference. 5. If three or more are still level, draw lots.</t>
  </si>
  <si>
    <t>Whenever the ladder narrows to exactly two level players, their match decides.</t>
  </si>
  <si>
    <t>If a player withdraws or retires, clear all of that player’s scores. Their results are deleted (Regulation 16.2.5).</t>
  </si>
  <si>
    <t>Points are the total points each player scored across all the games of a match, including games they lost.</t>
  </si>
  <si>
    <t>Group A · Men’s singles</t>
  </si>
  <si>
    <t>Aarav</t>
  </si>
  <si>
    <t>Vihaan</t>
  </si>
  <si>
    <t>Arjun</t>
  </si>
  <si>
    <t>Kabir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</si>
</sst>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73F36"/>
      <sz val="16"/>
      <name val="Arial"/>
    </font>
    <font>
      <b/>
      <sz val="10"/>
      <name val="Arial"/>
    </font>
    <font>
      <color rgb="FF8A948B"/>
      <sz val="10"/>
      <name val="Arial"/>
    </font>
    <font>
      <sz val="10"/>
      <name val="Arial"/>
    </font>
    <font>
      <b/>
      <color rgb="FFD6E98D"/>
      <sz val="10"/>
      <name val="Arial"/>
    </font>
    <font>
      <b/>
      <color rgb="FF173F36"/>
      <sz val="12"/>
      <name val="Arial"/>
    </font>
    <font>
      <i/>
      <color rgb="FF8A948B"/>
      <sz val="9"/>
      <name val="Arial"/>
    </font>
    <font>
      <color rgb="FF8A948B"/>
      <sz val="9"/>
      <name val="Arial"/>
    </font>
    <font>
      <b/>
      <sz val="11"/>
      <name val="Arial"/>
    </font>
    <font>
      <b/>
      <sz val="12"/>
      <name val="Arial"/>
    </font>
    <font>
      <color rgb="FF5F6A61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4C2"/>
      </patternFill>
    </fill>
    <fill>
      <patternFill patternType="solid">
        <fgColor rgb="FF173F36"/>
      </patternFill>
    </fill>
  </fills>
  <borders count="3">
    <border>
      <left/>
      <right/>
      <top/>
      <bottom/>
      <diagonal/>
    </border>
    <border>
      <left style="thin">
        <color rgb="FFD8DBCD"/>
      </left>
      <right style="thin">
        <color rgb="FFD8DBCD"/>
      </right>
      <top style="thin">
        <color rgb="FFD8DBCD"/>
      </top>
      <bottom style="thin">
        <color rgb="FFD8DBCD"/>
      </bottom>
      <diagonal/>
    </border>
    <border>
      <left/>
      <right/>
      <top/>
      <bottom style="thin">
        <color rgb="FFD8DBC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2">
    <dxf>
      <fill>
        <patternFill patternType="solid">
          <bgColor rgb="FFE9EEE0"/>
        </patternFill>
      </fill>
    </dxf>
    <dxf>
      <fill>
        <patternFill patternType="solid">
          <bgColor rgb="FFE9EEE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workbookViewId="0" showGridLines="0"/>
  </sheetViews>
  <sheetFormatPr defaultRowHeight="15" outlineLevelRow="0" outlineLevelCol="0" x14ac:dyDescent="55"/>
  <cols>
    <col min="1" max="1" width="8" customWidth="1"/>
    <col min="2" max="2" width="16" customWidth="1"/>
    <col min="3" max="3" width="10" customWidth="1"/>
    <col min="4" max="5" width="14" customWidth="1"/>
    <col min="6" max="9" width="11" customWidth="1"/>
    <col min="10" max="10" width="18" customWidth="1"/>
    <col min="11" max="11" width="36" customWidth="1"/>
    <col min="12" max="12" width="3" customWidth="1"/>
    <col min="13" max="15" width="13" customWidth="1"/>
    <col min="16" max="16" width="10" customWidth="1"/>
  </cols>
  <sheetData>
    <row r="1" spans="1:1" x14ac:dyDescent="0.25">
      <c r="A1" s="1" t="s">
        <v>0</v>
      </c>
    </row>
    <row r="2" spans="1:6" x14ac:dyDescent="0.25">
      <c r="A2" s="2" t="s">
        <v>1</v>
      </c>
      <c r="B2" s="3"/>
      <c r="C2" s="3"/>
      <c r="D2" s="3"/>
      <c r="F2" s="4" t="str">
        <f>COUNT($M$13:$M$18)&amp;" of 6 matches entered"</f>
        <v>0 of 6 matches entered</v>
      </c>
    </row>
    <row r="3" ht="30" customHeight="1" spans="1:1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5" spans="1:2" x14ac:dyDescent="0.25">
      <c r="A5" s="6" t="s">
        <v>3</v>
      </c>
      <c r="B5" s="6" t="s">
        <v>4</v>
      </c>
    </row>
    <row r="6" spans="1:2" x14ac:dyDescent="0.25">
      <c r="A6" s="7">
        <v>1</v>
      </c>
      <c r="B6" s="8" t="s">
        <v>5</v>
      </c>
    </row>
    <row r="7" spans="1:2" x14ac:dyDescent="0.25">
      <c r="A7" s="7">
        <v>2</v>
      </c>
      <c r="B7" s="8" t="s">
        <v>6</v>
      </c>
    </row>
    <row r="8" spans="1:2" x14ac:dyDescent="0.25">
      <c r="A8" s="7">
        <v>3</v>
      </c>
      <c r="B8" s="8" t="s">
        <v>7</v>
      </c>
    </row>
    <row r="9" spans="1:2" x14ac:dyDescent="0.25">
      <c r="A9" s="7">
        <v>4</v>
      </c>
      <c r="B9" s="8" t="s">
        <v>8</v>
      </c>
    </row>
    <row r="11" spans="1:1" x14ac:dyDescent="0.25">
      <c r="A11" s="9" t="s">
        <v>9</v>
      </c>
    </row>
    <row r="12" ht="28" customHeight="1" spans="1:14" x14ac:dyDescent="0.25">
      <c r="A12" s="6" t="s">
        <v>10</v>
      </c>
      <c r="B12" s="6" t="s">
        <v>3</v>
      </c>
      <c r="C12" s="10" t="s">
        <v>3</v>
      </c>
      <c r="D12" s="10" t="s">
        <v>5</v>
      </c>
      <c r="E12" s="10" t="s">
        <v>6</v>
      </c>
      <c r="F12" s="10" t="s">
        <v>11</v>
      </c>
      <c r="G12" s="10" t="s">
        <v>12</v>
      </c>
      <c r="H12" s="10" t="s">
        <v>13</v>
      </c>
      <c r="I12" s="10" t="s">
        <v>14</v>
      </c>
      <c r="J12" s="10" t="s">
        <v>15</v>
      </c>
      <c r="M12" s="11" t="s">
        <v>16</v>
      </c>
      <c r="N12" s="11" t="s">
        <v>17</v>
      </c>
    </row>
    <row r="13" spans="1:14" x14ac:dyDescent="0.25">
      <c r="A13" s="12">
        <v>1</v>
      </c>
      <c r="B13" s="12">
        <v>1</v>
      </c>
      <c r="C13" s="12">
        <v>4</v>
      </c>
      <c r="D13" s="7" t="str">
        <f>INDEX($B$6:$B$9,B13)</f>
        <v>Player 1</v>
      </c>
      <c r="E13" s="7" t="str">
        <f>INDEX($B$6:$B$9,C13)</f>
        <v>Player 4</v>
      </c>
      <c r="F13" s="13"/>
      <c r="G13" s="13"/>
      <c r="H13" s="13"/>
      <c r="I13" s="13"/>
      <c r="J13" s="7" t="str">
        <f>IF(F13+G13=0,"",IF(F13&gt;G13,D13,IF(G13&gt;F13,E13,"Check the score")))</f>
        <v/>
      </c>
      <c r="M13" s="14" t="str">
        <f>IF(F13+G13=0,"",IF(F13&gt;G13,B13,IF(G13&gt;F13,C13,"")))</f>
        <v/>
      </c>
      <c r="N13" s="14" t="str">
        <f>IF(F13+G13=0,"",IF(F13&gt;G13,C13,IF(G13&gt;F13,B13,"")))</f>
        <v/>
      </c>
    </row>
    <row r="14" spans="1:14" x14ac:dyDescent="0.25">
      <c r="A14" s="12">
        <v>1</v>
      </c>
      <c r="B14" s="12">
        <v>2</v>
      </c>
      <c r="C14" s="12">
        <v>3</v>
      </c>
      <c r="D14" s="7" t="str">
        <f>INDEX($B$6:$B$9,B14)</f>
        <v>Player 2</v>
      </c>
      <c r="E14" s="7" t="str">
        <f>INDEX($B$6:$B$9,C14)</f>
        <v>Player 3</v>
      </c>
      <c r="F14" s="13"/>
      <c r="G14" s="13"/>
      <c r="H14" s="13"/>
      <c r="I14" s="13"/>
      <c r="J14" s="7" t="str">
        <f>IF(F14+G14=0,"",IF(F14&gt;G14,D14,IF(G14&gt;F14,E14,"Check the score")))</f>
        <v/>
      </c>
      <c r="M14" s="14" t="str">
        <f>IF(F14+G14=0,"",IF(F14&gt;G14,B14,IF(G14&gt;F14,C14,"")))</f>
        <v/>
      </c>
      <c r="N14" s="14" t="str">
        <f>IF(F14+G14=0,"",IF(F14&gt;G14,C14,IF(G14&gt;F14,B14,"")))</f>
        <v/>
      </c>
    </row>
    <row r="15" spans="1:14" x14ac:dyDescent="0.25">
      <c r="A15" s="12">
        <v>2</v>
      </c>
      <c r="B15" s="12">
        <v>1</v>
      </c>
      <c r="C15" s="12">
        <v>3</v>
      </c>
      <c r="D15" s="7" t="str">
        <f>INDEX($B$6:$B$9,B15)</f>
        <v>Player 1</v>
      </c>
      <c r="E15" s="7" t="str">
        <f>INDEX($B$6:$B$9,C15)</f>
        <v>Player 3</v>
      </c>
      <c r="F15" s="13"/>
      <c r="G15" s="13"/>
      <c r="H15" s="13"/>
      <c r="I15" s="13"/>
      <c r="J15" s="7" t="str">
        <f>IF(F15+G15=0,"",IF(F15&gt;G15,D15,IF(G15&gt;F15,E15,"Check the score")))</f>
        <v/>
      </c>
      <c r="M15" s="14" t="str">
        <f>IF(F15+G15=0,"",IF(F15&gt;G15,B15,IF(G15&gt;F15,C15,"")))</f>
        <v/>
      </c>
      <c r="N15" s="14" t="str">
        <f>IF(F15+G15=0,"",IF(F15&gt;G15,C15,IF(G15&gt;F15,B15,"")))</f>
        <v/>
      </c>
    </row>
    <row r="16" spans="1:14" x14ac:dyDescent="0.25">
      <c r="A16" s="12">
        <v>2</v>
      </c>
      <c r="B16" s="12">
        <v>2</v>
      </c>
      <c r="C16" s="12">
        <v>4</v>
      </c>
      <c r="D16" s="7" t="str">
        <f>INDEX($B$6:$B$9,B16)</f>
        <v>Player 2</v>
      </c>
      <c r="E16" s="7" t="str">
        <f>INDEX($B$6:$B$9,C16)</f>
        <v>Player 4</v>
      </c>
      <c r="F16" s="13"/>
      <c r="G16" s="13"/>
      <c r="H16" s="13"/>
      <c r="I16" s="13"/>
      <c r="J16" s="7" t="str">
        <f>IF(F16+G16=0,"",IF(F16&gt;G16,D16,IF(G16&gt;F16,E16,"Check the score")))</f>
        <v/>
      </c>
      <c r="M16" s="14" t="str">
        <f>IF(F16+G16=0,"",IF(F16&gt;G16,B16,IF(G16&gt;F16,C16,"")))</f>
        <v/>
      </c>
      <c r="N16" s="14" t="str">
        <f>IF(F16+G16=0,"",IF(F16&gt;G16,C16,IF(G16&gt;F16,B16,"")))</f>
        <v/>
      </c>
    </row>
    <row r="17" spans="1:14" x14ac:dyDescent="0.25">
      <c r="A17" s="12">
        <v>3</v>
      </c>
      <c r="B17" s="12">
        <v>3</v>
      </c>
      <c r="C17" s="12">
        <v>4</v>
      </c>
      <c r="D17" s="7" t="str">
        <f>INDEX($B$6:$B$9,B17)</f>
        <v>Player 3</v>
      </c>
      <c r="E17" s="7" t="str">
        <f>INDEX($B$6:$B$9,C17)</f>
        <v>Player 4</v>
      </c>
      <c r="F17" s="13"/>
      <c r="G17" s="13"/>
      <c r="H17" s="13"/>
      <c r="I17" s="13"/>
      <c r="J17" s="7" t="str">
        <f>IF(F17+G17=0,"",IF(F17&gt;G17,D17,IF(G17&gt;F17,E17,"Check the score")))</f>
        <v/>
      </c>
      <c r="M17" s="14" t="str">
        <f>IF(F17+G17=0,"",IF(F17&gt;G17,B17,IF(G17&gt;F17,C17,"")))</f>
        <v/>
      </c>
      <c r="N17" s="14" t="str">
        <f>IF(F17+G17=0,"",IF(F17&gt;G17,C17,IF(G17&gt;F17,B17,"")))</f>
        <v/>
      </c>
    </row>
    <row r="18" spans="1:14" x14ac:dyDescent="0.25">
      <c r="A18" s="12">
        <v>3</v>
      </c>
      <c r="B18" s="12">
        <v>1</v>
      </c>
      <c r="C18" s="12">
        <v>2</v>
      </c>
      <c r="D18" s="7" t="str">
        <f>INDEX($B$6:$B$9,B18)</f>
        <v>Player 1</v>
      </c>
      <c r="E18" s="7" t="str">
        <f>INDEX($B$6:$B$9,C18)</f>
        <v>Player 2</v>
      </c>
      <c r="F18" s="13"/>
      <c r="G18" s="13"/>
      <c r="H18" s="13"/>
      <c r="I18" s="13"/>
      <c r="J18" s="7" t="str">
        <f>IF(F18+G18=0,"",IF(F18&gt;G18,D18,IF(G18&gt;F18,E18,"Check the score")))</f>
        <v/>
      </c>
      <c r="M18" s="14" t="str">
        <f>IF(F18+G18=0,"",IF(F18&gt;G18,B18,IF(G18&gt;F18,C18,"")))</f>
        <v/>
      </c>
      <c r="N18" s="14" t="str">
        <f>IF(F18+G18=0,"",IF(F18&gt;G18,C18,IF(G18&gt;F18,B18,"")))</f>
        <v/>
      </c>
    </row>
    <row r="20" spans="1:1" x14ac:dyDescent="0.25">
      <c r="A20" s="9" t="s">
        <v>18</v>
      </c>
    </row>
    <row r="21" ht="28" customHeight="1" spans="1:16" x14ac:dyDescent="0.25">
      <c r="A21" s="6" t="s">
        <v>19</v>
      </c>
      <c r="B21" s="6" t="s">
        <v>4</v>
      </c>
      <c r="C21" s="10" t="s">
        <v>20</v>
      </c>
      <c r="D21" s="10" t="s">
        <v>21</v>
      </c>
      <c r="E21" s="10" t="s">
        <v>22</v>
      </c>
      <c r="F21" s="10" t="s">
        <v>23</v>
      </c>
      <c r="G21" s="10" t="s">
        <v>24</v>
      </c>
      <c r="H21" s="10" t="s">
        <v>25</v>
      </c>
      <c r="I21" s="10" t="s">
        <v>26</v>
      </c>
      <c r="J21" s="10" t="s">
        <v>27</v>
      </c>
      <c r="K21" s="10" t="s">
        <v>28</v>
      </c>
      <c r="M21" s="11" t="s">
        <v>29</v>
      </c>
      <c r="N21" s="11" t="s">
        <v>30</v>
      </c>
      <c r="O21" s="11" t="s">
        <v>31</v>
      </c>
      <c r="P21" s="11" t="s">
        <v>32</v>
      </c>
    </row>
    <row r="22" spans="1:16" x14ac:dyDescent="0.25">
      <c r="A22" s="15" t="str">
        <f>IF(COUNT($M$13:$M$18)=0,"",1+SUM(B38:B41))</f>
        <v/>
      </c>
      <c r="B22" s="16" t="str">
        <f>B6</f>
        <v>Player 1</v>
      </c>
      <c r="C22" s="17">
        <f>COUNTIF($M$13:$M$18,1)+COUNTIF($N$13:$N$18,1)</f>
        <v>0</v>
      </c>
      <c r="D22" s="17">
        <f>COUNTIF($M$13:$M$18,1)</f>
        <v>0</v>
      </c>
      <c r="E22" s="17">
        <f>SUMIFS($F$13:$F$18,$B$13:$B$18,1)+SUMIFS($G$13:$G$18,$C$13:$C$18,1)</f>
        <v>0</v>
      </c>
      <c r="F22" s="17">
        <f>SUMIFS($G$13:$G$18,$B$13:$B$18,1)+SUMIFS($F$13:$F$18,$C$13:$C$18,1)</f>
        <v>0</v>
      </c>
      <c r="G22" s="17">
        <f>E22-F22</f>
        <v>0</v>
      </c>
      <c r="H22" s="17">
        <f>SUMIFS($H$13:$H$18,$B$13:$B$18,1)+SUMIFS($I$13:$I$18,$C$13:$C$18,1)</f>
        <v>0</v>
      </c>
      <c r="I22" s="17">
        <f>SUMIFS($I$13:$I$18,$B$13:$B$18,1)+SUMIFS($H$13:$H$18,$C$13:$C$18,1)</f>
        <v>0</v>
      </c>
      <c r="J22" s="17">
        <f>H22-I22</f>
        <v>0</v>
      </c>
      <c r="K22" s="16" t="str">
        <f>IF(COUNT($M$13:$M$18)=0,"",IF(M22=1,"Matches won",IF(M22=2,"Head-to-head",IF(N22=1,"Game difference",IF(N22=2,"Game difference, then head-to-head",IF(O22=1,"Point difference",IF(O22=2,"Point difference, then head-to-head","Draw lots")))))))</f>
        <v/>
      </c>
      <c r="M22" s="14">
        <f>COUNTIF($D$22:$D$25,D22)</f>
        <v>4</v>
      </c>
      <c r="N22" s="14">
        <f>COUNTIFS($D$22:$D$25,D22,$G$22:$G$25,G22)</f>
        <v>4</v>
      </c>
      <c r="O22" s="14">
        <f>COUNTIFS($D$22:$D$25,D22,$G$22:$G$25,G22,$J$22:$J$25,J22)</f>
        <v>4</v>
      </c>
      <c r="P22" s="14" t="str">
        <f>IF(A22="","",A22*10+1)</f>
        <v/>
      </c>
    </row>
    <row r="23" spans="1:16" x14ac:dyDescent="0.25">
      <c r="A23" s="15" t="str">
        <f>IF(COUNT($M$13:$M$18)=0,"",1+SUM(C38:C41))</f>
        <v/>
      </c>
      <c r="B23" s="16" t="str">
        <f>B7</f>
        <v>Player 2</v>
      </c>
      <c r="C23" s="17">
        <f>COUNTIF($M$13:$M$18,2)+COUNTIF($N$13:$N$18,2)</f>
        <v>0</v>
      </c>
      <c r="D23" s="17">
        <f>COUNTIF($M$13:$M$18,2)</f>
        <v>0</v>
      </c>
      <c r="E23" s="17">
        <f>SUMIFS($F$13:$F$18,$B$13:$B$18,2)+SUMIFS($G$13:$G$18,$C$13:$C$18,2)</f>
        <v>0</v>
      </c>
      <c r="F23" s="17">
        <f>SUMIFS($G$13:$G$18,$B$13:$B$18,2)+SUMIFS($F$13:$F$18,$C$13:$C$18,2)</f>
        <v>0</v>
      </c>
      <c r="G23" s="17">
        <f>E23-F23</f>
        <v>0</v>
      </c>
      <c r="H23" s="17">
        <f>SUMIFS($H$13:$H$18,$B$13:$B$18,2)+SUMIFS($I$13:$I$18,$C$13:$C$18,2)</f>
        <v>0</v>
      </c>
      <c r="I23" s="17">
        <f>SUMIFS($I$13:$I$18,$B$13:$B$18,2)+SUMIFS($H$13:$H$18,$C$13:$C$18,2)</f>
        <v>0</v>
      </c>
      <c r="J23" s="17">
        <f>H23-I23</f>
        <v>0</v>
      </c>
      <c r="K23" s="16" t="str">
        <f>IF(COUNT($M$13:$M$18)=0,"",IF(M23=1,"Matches won",IF(M23=2,"Head-to-head",IF(N23=1,"Game difference",IF(N23=2,"Game difference, then head-to-head",IF(O23=1,"Point difference",IF(O23=2,"Point difference, then head-to-head","Draw lots")))))))</f>
        <v/>
      </c>
      <c r="M23" s="14">
        <f>COUNTIF($D$22:$D$25,D23)</f>
        <v>4</v>
      </c>
      <c r="N23" s="14">
        <f>COUNTIFS($D$22:$D$25,D23,$G$22:$G$25,G23)</f>
        <v>4</v>
      </c>
      <c r="O23" s="14">
        <f>COUNTIFS($D$22:$D$25,D23,$G$22:$G$25,G23,$J$22:$J$25,J23)</f>
        <v>4</v>
      </c>
      <c r="P23" s="14" t="str">
        <f>IF(A23="","",A23*10+2)</f>
        <v/>
      </c>
    </row>
    <row r="24" spans="1:16" x14ac:dyDescent="0.25">
      <c r="A24" s="15" t="str">
        <f>IF(COUNT($M$13:$M$18)=0,"",1+SUM(D38:D41))</f>
        <v/>
      </c>
      <c r="B24" s="16" t="str">
        <f>B8</f>
        <v>Player 3</v>
      </c>
      <c r="C24" s="17">
        <f>COUNTIF($M$13:$M$18,3)+COUNTIF($N$13:$N$18,3)</f>
        <v>0</v>
      </c>
      <c r="D24" s="17">
        <f>COUNTIF($M$13:$M$18,3)</f>
        <v>0</v>
      </c>
      <c r="E24" s="17">
        <f>SUMIFS($F$13:$F$18,$B$13:$B$18,3)+SUMIFS($G$13:$G$18,$C$13:$C$18,3)</f>
        <v>0</v>
      </c>
      <c r="F24" s="17">
        <f>SUMIFS($G$13:$G$18,$B$13:$B$18,3)+SUMIFS($F$13:$F$18,$C$13:$C$18,3)</f>
        <v>0</v>
      </c>
      <c r="G24" s="17">
        <f>E24-F24</f>
        <v>0</v>
      </c>
      <c r="H24" s="17">
        <f>SUMIFS($H$13:$H$18,$B$13:$B$18,3)+SUMIFS($I$13:$I$18,$C$13:$C$18,3)</f>
        <v>0</v>
      </c>
      <c r="I24" s="17">
        <f>SUMIFS($I$13:$I$18,$B$13:$B$18,3)+SUMIFS($H$13:$H$18,$C$13:$C$18,3)</f>
        <v>0</v>
      </c>
      <c r="J24" s="17">
        <f>H24-I24</f>
        <v>0</v>
      </c>
      <c r="K24" s="16" t="str">
        <f>IF(COUNT($M$13:$M$18)=0,"",IF(M24=1,"Matches won",IF(M24=2,"Head-to-head",IF(N24=1,"Game difference",IF(N24=2,"Game difference, then head-to-head",IF(O24=1,"Point difference",IF(O24=2,"Point difference, then head-to-head","Draw lots")))))))</f>
        <v/>
      </c>
      <c r="M24" s="14">
        <f>COUNTIF($D$22:$D$25,D24)</f>
        <v>4</v>
      </c>
      <c r="N24" s="14">
        <f>COUNTIFS($D$22:$D$25,D24,$G$22:$G$25,G24)</f>
        <v>4</v>
      </c>
      <c r="O24" s="14">
        <f>COUNTIFS($D$22:$D$25,D24,$G$22:$G$25,G24,$J$22:$J$25,J24)</f>
        <v>4</v>
      </c>
      <c r="P24" s="14" t="str">
        <f>IF(A24="","",A24*10+3)</f>
        <v/>
      </c>
    </row>
    <row r="25" spans="1:16" x14ac:dyDescent="0.25">
      <c r="A25" s="15" t="str">
        <f>IF(COUNT($M$13:$M$18)=0,"",1+SUM(E38:E41))</f>
        <v/>
      </c>
      <c r="B25" s="16" t="str">
        <f>B9</f>
        <v>Player 4</v>
      </c>
      <c r="C25" s="17">
        <f>COUNTIF($M$13:$M$18,4)+COUNTIF($N$13:$N$18,4)</f>
        <v>0</v>
      </c>
      <c r="D25" s="17">
        <f>COUNTIF($M$13:$M$18,4)</f>
        <v>0</v>
      </c>
      <c r="E25" s="17">
        <f>SUMIFS($F$13:$F$18,$B$13:$B$18,4)+SUMIFS($G$13:$G$18,$C$13:$C$18,4)</f>
        <v>0</v>
      </c>
      <c r="F25" s="17">
        <f>SUMIFS($G$13:$G$18,$B$13:$B$18,4)+SUMIFS($F$13:$F$18,$C$13:$C$18,4)</f>
        <v>0</v>
      </c>
      <c r="G25" s="17">
        <f>E25-F25</f>
        <v>0</v>
      </c>
      <c r="H25" s="17">
        <f>SUMIFS($H$13:$H$18,$B$13:$B$18,4)+SUMIFS($I$13:$I$18,$C$13:$C$18,4)</f>
        <v>0</v>
      </c>
      <c r="I25" s="17">
        <f>SUMIFS($I$13:$I$18,$B$13:$B$18,4)+SUMIFS($H$13:$H$18,$C$13:$C$18,4)</f>
        <v>0</v>
      </c>
      <c r="J25" s="17">
        <f>H25-I25</f>
        <v>0</v>
      </c>
      <c r="K25" s="16" t="str">
        <f>IF(COUNT($M$13:$M$18)=0,"",IF(M25=1,"Matches won",IF(M25=2,"Head-to-head",IF(N25=1,"Game difference",IF(N25=2,"Game difference, then head-to-head",IF(O25=1,"Point difference",IF(O25=2,"Point difference, then head-to-head","Draw lots")))))))</f>
        <v/>
      </c>
      <c r="M25" s="14">
        <f>COUNTIF($D$22:$D$25,D25)</f>
        <v>4</v>
      </c>
      <c r="N25" s="14">
        <f>COUNTIFS($D$22:$D$25,D25,$G$22:$G$25,G25)</f>
        <v>4</v>
      </c>
      <c r="O25" s="14">
        <f>COUNTIFS($D$22:$D$25,D25,$G$22:$G$25,G25,$J$22:$J$25,J25)</f>
        <v>4</v>
      </c>
      <c r="P25" s="14" t="str">
        <f>IF(A25="","",A25*10+4)</f>
        <v/>
      </c>
    </row>
    <row r="28" spans="1:1" x14ac:dyDescent="0.25">
      <c r="A28" s="9" t="s">
        <v>33</v>
      </c>
    </row>
    <row r="29" spans="1:6" x14ac:dyDescent="0.25">
      <c r="A29" s="6" t="s">
        <v>34</v>
      </c>
      <c r="B29" s="6" t="s">
        <v>4</v>
      </c>
      <c r="C29" s="10" t="s">
        <v>21</v>
      </c>
      <c r="D29" s="10" t="s">
        <v>24</v>
      </c>
      <c r="E29" s="10" t="s">
        <v>27</v>
      </c>
      <c r="F29" s="10" t="s">
        <v>28</v>
      </c>
    </row>
    <row r="30" spans="1:6" x14ac:dyDescent="0.25">
      <c r="A30" s="18" t="str">
        <f>IFERROR(INDEX($A$22:$A$25,MATCH(SMALL($P$22:$P$25,1),$P$22:$P$25,0)),"")</f>
        <v/>
      </c>
      <c r="B30" s="19" t="str">
        <f>IFERROR(INDEX($B$22:$B$25,MATCH(SMALL($P$22:$P$25,1),$P$22:$P$25,0)),"")</f>
        <v/>
      </c>
      <c r="C30" s="17" t="str">
        <f>IFERROR(INDEX($D$22:$D$25,MATCH(SMALL($P$22:$P$25,1),$P$22:$P$25,0)),"")</f>
        <v/>
      </c>
      <c r="D30" s="17" t="str">
        <f>IFERROR(INDEX($G$22:$G$25,MATCH(SMALL($P$22:$P$25,1),$P$22:$P$25,0)),"")</f>
        <v/>
      </c>
      <c r="E30" s="17" t="str">
        <f>IFERROR(INDEX($J$22:$J$25,MATCH(SMALL($P$22:$P$25,1),$P$22:$P$25,0)),"")</f>
        <v/>
      </c>
      <c r="F30" s="16" t="str">
        <f>IFERROR(INDEX($K$22:$K$25,MATCH(SMALL($P$22:$P$25,1),$P$22:$P$25,0)),"")</f>
        <v/>
      </c>
    </row>
    <row r="31" spans="1:6" x14ac:dyDescent="0.25">
      <c r="A31" s="18" t="str">
        <f>IFERROR(INDEX($A$22:$A$25,MATCH(SMALL($P$22:$P$25,2),$P$22:$P$25,0)),"")</f>
        <v/>
      </c>
      <c r="B31" s="19" t="str">
        <f>IFERROR(INDEX($B$22:$B$25,MATCH(SMALL($P$22:$P$25,2),$P$22:$P$25,0)),"")</f>
        <v/>
      </c>
      <c r="C31" s="17" t="str">
        <f>IFERROR(INDEX($D$22:$D$25,MATCH(SMALL($P$22:$P$25,2),$P$22:$P$25,0)),"")</f>
        <v/>
      </c>
      <c r="D31" s="17" t="str">
        <f>IFERROR(INDEX($G$22:$G$25,MATCH(SMALL($P$22:$P$25,2),$P$22:$P$25,0)),"")</f>
        <v/>
      </c>
      <c r="E31" s="17" t="str">
        <f>IFERROR(INDEX($J$22:$J$25,MATCH(SMALL($P$22:$P$25,2),$P$22:$P$25,0)),"")</f>
        <v/>
      </c>
      <c r="F31" s="16" t="str">
        <f>IFERROR(INDEX($K$22:$K$25,MATCH(SMALL($P$22:$P$25,2),$P$22:$P$25,0)),"")</f>
        <v/>
      </c>
    </row>
    <row r="32" spans="1:6" x14ac:dyDescent="0.25">
      <c r="A32" s="18" t="str">
        <f>IFERROR(INDEX($A$22:$A$25,MATCH(SMALL($P$22:$P$25,3),$P$22:$P$25,0)),"")</f>
        <v/>
      </c>
      <c r="B32" s="19" t="str">
        <f>IFERROR(INDEX($B$22:$B$25,MATCH(SMALL($P$22:$P$25,3),$P$22:$P$25,0)),"")</f>
        <v/>
      </c>
      <c r="C32" s="17" t="str">
        <f>IFERROR(INDEX($D$22:$D$25,MATCH(SMALL($P$22:$P$25,3),$P$22:$P$25,0)),"")</f>
        <v/>
      </c>
      <c r="D32" s="17" t="str">
        <f>IFERROR(INDEX($G$22:$G$25,MATCH(SMALL($P$22:$P$25,3),$P$22:$P$25,0)),"")</f>
        <v/>
      </c>
      <c r="E32" s="17" t="str">
        <f>IFERROR(INDEX($J$22:$J$25,MATCH(SMALL($P$22:$P$25,3),$P$22:$P$25,0)),"")</f>
        <v/>
      </c>
      <c r="F32" s="16" t="str">
        <f>IFERROR(INDEX($K$22:$K$25,MATCH(SMALL($P$22:$P$25,3),$P$22:$P$25,0)),"")</f>
        <v/>
      </c>
    </row>
    <row r="33" spans="1:6" x14ac:dyDescent="0.25">
      <c r="A33" s="18" t="str">
        <f>IFERROR(INDEX($A$22:$A$25,MATCH(SMALL($P$22:$P$25,4),$P$22:$P$25,0)),"")</f>
        <v/>
      </c>
      <c r="B33" s="19" t="str">
        <f>IFERROR(INDEX($B$22:$B$25,MATCH(SMALL($P$22:$P$25,4),$P$22:$P$25,0)),"")</f>
        <v/>
      </c>
      <c r="C33" s="17" t="str">
        <f>IFERROR(INDEX($D$22:$D$25,MATCH(SMALL($P$22:$P$25,4),$P$22:$P$25,0)),"")</f>
        <v/>
      </c>
      <c r="D33" s="17" t="str">
        <f>IFERROR(INDEX($G$22:$G$25,MATCH(SMALL($P$22:$P$25,4),$P$22:$P$25,0)),"")</f>
        <v/>
      </c>
      <c r="E33" s="17" t="str">
        <f>IFERROR(INDEX($J$22:$J$25,MATCH(SMALL($P$22:$P$25,4),$P$22:$P$25,0)),"")</f>
        <v/>
      </c>
      <c r="F33" s="16" t="str">
        <f>IFERROR(INDEX($K$22:$K$25,MATCH(SMALL($P$22:$P$25,4),$P$22:$P$25,0)),"")</f>
        <v/>
      </c>
    </row>
    <row r="36" spans="1:1" x14ac:dyDescent="0.25">
      <c r="A36" s="20" t="s">
        <v>35</v>
      </c>
    </row>
    <row r="37" spans="1:5" x14ac:dyDescent="0.25">
      <c r="A37" s="21"/>
      <c r="B37" s="14" t="str">
        <f>B6</f>
        <v>Player 1</v>
      </c>
      <c r="C37" s="14" t="str">
        <f>B7</f>
        <v>Player 2</v>
      </c>
      <c r="D37" s="14" t="str">
        <f>B8</f>
        <v>Player 3</v>
      </c>
      <c r="E37" s="14" t="str">
        <f>B9</f>
        <v>Player 4</v>
      </c>
    </row>
    <row r="38" spans="1:5" x14ac:dyDescent="0.25">
      <c r="A38" s="21" t="str">
        <f>B6</f>
        <v>Player 1</v>
      </c>
      <c r="B38" s="14">
        <v>0</v>
      </c>
      <c r="C38" s="14">
        <f>IF(OR($D$22&gt;$D$23,AND($D$22=$D$23,$M$23=2,COUNTIFS($M$13:$M$18,1,$N$13:$N$18,2)=1),AND($D$22=$D$23,$M$23&gt;=3,$G$22&gt;$G$23),AND($D$22=$D$23,$M$23&gt;=3,$G$22=$G$23,$N$23=2,COUNTIFS($M$13:$M$18,1,$N$13:$N$18,2)=1),AND($D$22=$D$23,$M$23&gt;=3,$G$22=$G$23,$N$23&gt;=3,$J$22&gt;$J$23),AND($D$22=$D$23,$M$23&gt;=3,$G$22=$G$23,$N$23&gt;=3,$J$22=$J$23,$O$23=2,COUNTIFS($M$13:$M$18,1,$N$13:$N$18,2)=1)),1,0)</f>
        <v>0</v>
      </c>
      <c r="D38" s="14">
        <f>IF(OR($D$22&gt;$D$24,AND($D$22=$D$24,$M$24=2,COUNTIFS($M$13:$M$18,1,$N$13:$N$18,3)=1),AND($D$22=$D$24,$M$24&gt;=3,$G$22&gt;$G$24),AND($D$22=$D$24,$M$24&gt;=3,$G$22=$G$24,$N$24=2,COUNTIFS($M$13:$M$18,1,$N$13:$N$18,3)=1),AND($D$22=$D$24,$M$24&gt;=3,$G$22=$G$24,$N$24&gt;=3,$J$22&gt;$J$24),AND($D$22=$D$24,$M$24&gt;=3,$G$22=$G$24,$N$24&gt;=3,$J$22=$J$24,$O$24=2,COUNTIFS($M$13:$M$18,1,$N$13:$N$18,3)=1)),1,0)</f>
        <v>0</v>
      </c>
      <c r="E38" s="14">
        <f>IF(OR($D$22&gt;$D$25,AND($D$22=$D$25,$M$25=2,COUNTIFS($M$13:$M$18,1,$N$13:$N$18,4)=1),AND($D$22=$D$25,$M$25&gt;=3,$G$22&gt;$G$25),AND($D$22=$D$25,$M$25&gt;=3,$G$22=$G$25,$N$25=2,COUNTIFS($M$13:$M$18,1,$N$13:$N$18,4)=1),AND($D$22=$D$25,$M$25&gt;=3,$G$22=$G$25,$N$25&gt;=3,$J$22&gt;$J$25),AND($D$22=$D$25,$M$25&gt;=3,$G$22=$G$25,$N$25&gt;=3,$J$22=$J$25,$O$25=2,COUNTIFS($M$13:$M$18,1,$N$13:$N$18,4)=1)),1,0)</f>
        <v>0</v>
      </c>
    </row>
    <row r="39" spans="1:5" x14ac:dyDescent="0.25">
      <c r="A39" s="21" t="str">
        <f>B7</f>
        <v>Player 2</v>
      </c>
      <c r="B39" s="14">
        <f>IF(OR($D$23&gt;$D$22,AND($D$23=$D$22,$M$22=2,COUNTIFS($M$13:$M$18,2,$N$13:$N$18,1)=1),AND($D$23=$D$22,$M$22&gt;=3,$G$23&gt;$G$22),AND($D$23=$D$22,$M$22&gt;=3,$G$23=$G$22,$N$22=2,COUNTIFS($M$13:$M$18,2,$N$13:$N$18,1)=1),AND($D$23=$D$22,$M$22&gt;=3,$G$23=$G$22,$N$22&gt;=3,$J$23&gt;$J$22),AND($D$23=$D$22,$M$22&gt;=3,$G$23=$G$22,$N$22&gt;=3,$J$23=$J$22,$O$22=2,COUNTIFS($M$13:$M$18,2,$N$13:$N$18,1)=1)),1,0)</f>
        <v>0</v>
      </c>
      <c r="C39" s="14">
        <v>0</v>
      </c>
      <c r="D39" s="14">
        <f>IF(OR($D$23&gt;$D$24,AND($D$23=$D$24,$M$24=2,COUNTIFS($M$13:$M$18,2,$N$13:$N$18,3)=1),AND($D$23=$D$24,$M$24&gt;=3,$G$23&gt;$G$24),AND($D$23=$D$24,$M$24&gt;=3,$G$23=$G$24,$N$24=2,COUNTIFS($M$13:$M$18,2,$N$13:$N$18,3)=1),AND($D$23=$D$24,$M$24&gt;=3,$G$23=$G$24,$N$24&gt;=3,$J$23&gt;$J$24),AND($D$23=$D$24,$M$24&gt;=3,$G$23=$G$24,$N$24&gt;=3,$J$23=$J$24,$O$24=2,COUNTIFS($M$13:$M$18,2,$N$13:$N$18,3)=1)),1,0)</f>
        <v>0</v>
      </c>
      <c r="E39" s="14">
        <f>IF(OR($D$23&gt;$D$25,AND($D$23=$D$25,$M$25=2,COUNTIFS($M$13:$M$18,2,$N$13:$N$18,4)=1),AND($D$23=$D$25,$M$25&gt;=3,$G$23&gt;$G$25),AND($D$23=$D$25,$M$25&gt;=3,$G$23=$G$25,$N$25=2,COUNTIFS($M$13:$M$18,2,$N$13:$N$18,4)=1),AND($D$23=$D$25,$M$25&gt;=3,$G$23=$G$25,$N$25&gt;=3,$J$23&gt;$J$25),AND($D$23=$D$25,$M$25&gt;=3,$G$23=$G$25,$N$25&gt;=3,$J$23=$J$25,$O$25=2,COUNTIFS($M$13:$M$18,2,$N$13:$N$18,4)=1)),1,0)</f>
        <v>0</v>
      </c>
    </row>
    <row r="40" spans="1:5" x14ac:dyDescent="0.25">
      <c r="A40" s="21" t="str">
        <f>B8</f>
        <v>Player 3</v>
      </c>
      <c r="B40" s="14">
        <f>IF(OR($D$24&gt;$D$22,AND($D$24=$D$22,$M$22=2,COUNTIFS($M$13:$M$18,3,$N$13:$N$18,1)=1),AND($D$24=$D$22,$M$22&gt;=3,$G$24&gt;$G$22),AND($D$24=$D$22,$M$22&gt;=3,$G$24=$G$22,$N$22=2,COUNTIFS($M$13:$M$18,3,$N$13:$N$18,1)=1),AND($D$24=$D$22,$M$22&gt;=3,$G$24=$G$22,$N$22&gt;=3,$J$24&gt;$J$22),AND($D$24=$D$22,$M$22&gt;=3,$G$24=$G$22,$N$22&gt;=3,$J$24=$J$22,$O$22=2,COUNTIFS($M$13:$M$18,3,$N$13:$N$18,1)=1)),1,0)</f>
        <v>0</v>
      </c>
      <c r="C40" s="14">
        <f>IF(OR($D$24&gt;$D$23,AND($D$24=$D$23,$M$23=2,COUNTIFS($M$13:$M$18,3,$N$13:$N$18,2)=1),AND($D$24=$D$23,$M$23&gt;=3,$G$24&gt;$G$23),AND($D$24=$D$23,$M$23&gt;=3,$G$24=$G$23,$N$23=2,COUNTIFS($M$13:$M$18,3,$N$13:$N$18,2)=1),AND($D$24=$D$23,$M$23&gt;=3,$G$24=$G$23,$N$23&gt;=3,$J$24&gt;$J$23),AND($D$24=$D$23,$M$23&gt;=3,$G$24=$G$23,$N$23&gt;=3,$J$24=$J$23,$O$23=2,COUNTIFS($M$13:$M$18,3,$N$13:$N$18,2)=1)),1,0)</f>
        <v>0</v>
      </c>
      <c r="D40" s="14">
        <v>0</v>
      </c>
      <c r="E40" s="14">
        <f>IF(OR($D$24&gt;$D$25,AND($D$24=$D$25,$M$25=2,COUNTIFS($M$13:$M$18,3,$N$13:$N$18,4)=1),AND($D$24=$D$25,$M$25&gt;=3,$G$24&gt;$G$25),AND($D$24=$D$25,$M$25&gt;=3,$G$24=$G$25,$N$25=2,COUNTIFS($M$13:$M$18,3,$N$13:$N$18,4)=1),AND($D$24=$D$25,$M$25&gt;=3,$G$24=$G$25,$N$25&gt;=3,$J$24&gt;$J$25),AND($D$24=$D$25,$M$25&gt;=3,$G$24=$G$25,$N$25&gt;=3,$J$24=$J$25,$O$25=2,COUNTIFS($M$13:$M$18,3,$N$13:$N$18,4)=1)),1,0)</f>
        <v>0</v>
      </c>
    </row>
    <row r="41" spans="1:5" x14ac:dyDescent="0.25">
      <c r="A41" s="21" t="str">
        <f>B9</f>
        <v>Player 4</v>
      </c>
      <c r="B41" s="14">
        <f>IF(OR($D$25&gt;$D$22,AND($D$25=$D$22,$M$22=2,COUNTIFS($M$13:$M$18,4,$N$13:$N$18,1)=1),AND($D$25=$D$22,$M$22&gt;=3,$G$25&gt;$G$22),AND($D$25=$D$22,$M$22&gt;=3,$G$25=$G$22,$N$22=2,COUNTIFS($M$13:$M$18,4,$N$13:$N$18,1)=1),AND($D$25=$D$22,$M$22&gt;=3,$G$25=$G$22,$N$22&gt;=3,$J$25&gt;$J$22),AND($D$25=$D$22,$M$22&gt;=3,$G$25=$G$22,$N$22&gt;=3,$J$25=$J$22,$O$22=2,COUNTIFS($M$13:$M$18,4,$N$13:$N$18,1)=1)),1,0)</f>
        <v>0</v>
      </c>
      <c r="C41" s="14">
        <f>IF(OR($D$25&gt;$D$23,AND($D$25=$D$23,$M$23=2,COUNTIFS($M$13:$M$18,4,$N$13:$N$18,2)=1),AND($D$25=$D$23,$M$23&gt;=3,$G$25&gt;$G$23),AND($D$25=$D$23,$M$23&gt;=3,$G$25=$G$23,$N$23=2,COUNTIFS($M$13:$M$18,4,$N$13:$N$18,2)=1),AND($D$25=$D$23,$M$23&gt;=3,$G$25=$G$23,$N$23&gt;=3,$J$25&gt;$J$23),AND($D$25=$D$23,$M$23&gt;=3,$G$25=$G$23,$N$23&gt;=3,$J$25=$J$23,$O$23=2,COUNTIFS($M$13:$M$18,4,$N$13:$N$18,2)=1)),1,0)</f>
        <v>0</v>
      </c>
      <c r="D41" s="14">
        <f>IF(OR($D$25&gt;$D$24,AND($D$25=$D$24,$M$24=2,COUNTIFS($M$13:$M$18,4,$N$13:$N$18,3)=1),AND($D$25=$D$24,$M$24&gt;=3,$G$25&gt;$G$24),AND($D$25=$D$24,$M$24&gt;=3,$G$25=$G$24,$N$24=2,COUNTIFS($M$13:$M$18,4,$N$13:$N$18,3)=1),AND($D$25=$D$24,$M$24&gt;=3,$G$25=$G$24,$N$24&gt;=3,$J$25&gt;$J$24),AND($D$25=$D$24,$M$24&gt;=3,$G$25=$G$24,$N$24&gt;=3,$J$25=$J$24,$O$24=2,COUNTIFS($M$13:$M$18,4,$N$13:$N$18,3)=1)),1,0)</f>
        <v>0</v>
      </c>
      <c r="E41" s="14">
        <v>0</v>
      </c>
    </row>
    <row r="44" spans="1:1" x14ac:dyDescent="0.25">
      <c r="A44" s="2" t="s">
        <v>36</v>
      </c>
    </row>
    <row r="45" spans="1:1" x14ac:dyDescent="0.25">
      <c r="A45" s="22" t="s">
        <v>37</v>
      </c>
    </row>
    <row r="46" spans="1:1" x14ac:dyDescent="0.25">
      <c r="A46" s="22" t="s">
        <v>38</v>
      </c>
    </row>
    <row r="47" spans="1:1" x14ac:dyDescent="0.25">
      <c r="A47" s="22" t="s">
        <v>39</v>
      </c>
    </row>
    <row r="48" spans="1:1" x14ac:dyDescent="0.25">
      <c r="A48" s="22" t="s">
        <v>40</v>
      </c>
    </row>
    <row r="49" spans="1:1" x14ac:dyDescent="0.25">
      <c r="A49" s="22" t="s">
        <v>41</v>
      </c>
    </row>
    <row r="50" spans="1:1" x14ac:dyDescent="0.25">
      <c r="A50" s="22" t="s">
        <v>42</v>
      </c>
    </row>
  </sheetData>
  <mergeCells count="2">
    <mergeCell ref="B2:D2"/>
    <mergeCell ref="A3:K3"/>
  </mergeCells>
  <conditionalFormatting sqref="A30:F31">
    <cfRule type="expression" dxfId="0" priority="1">
      <formula>$B30&lt;&gt;""</formula>
    </cfRule>
  </conditionalFormatting>
  <dataValidations count="2">
    <dataValidation type="whole" allowBlank="1" showErrorMessage="1" errorTitle="Games" error="Enter the games won, from 0 to 2." sqref="F13:G18">
      <formula1>0</formula1>
      <formula2>2</formula2>
    </dataValidation>
    <dataValidation type="whole" allowBlank="1" showErrorMessage="1" errorTitle="Points" error="Enter the total points scored across all games of the match." sqref="H13:I18">
      <formula1>0</formula1>
      <formula2>120</formula2>
    </dataValidation>
  </dataValidation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workbookViewId="0" showGridLines="0"/>
  </sheetViews>
  <sheetFormatPr defaultRowHeight="15" outlineLevelRow="0" outlineLevelCol="0" x14ac:dyDescent="55"/>
  <cols>
    <col min="1" max="1" width="8" customWidth="1"/>
    <col min="2" max="2" width="16" customWidth="1"/>
    <col min="3" max="3" width="10" customWidth="1"/>
    <col min="4" max="5" width="14" customWidth="1"/>
    <col min="6" max="9" width="11" customWidth="1"/>
    <col min="10" max="10" width="18" customWidth="1"/>
    <col min="11" max="11" width="36" customWidth="1"/>
    <col min="12" max="12" width="3" customWidth="1"/>
    <col min="13" max="15" width="13" customWidth="1"/>
    <col min="16" max="16" width="10" customWidth="1"/>
  </cols>
  <sheetData>
    <row r="1" spans="1:1" x14ac:dyDescent="0.25">
      <c r="A1" s="1" t="s">
        <v>0</v>
      </c>
    </row>
    <row r="2" spans="1:6" x14ac:dyDescent="0.25">
      <c r="A2" s="2" t="s">
        <v>1</v>
      </c>
      <c r="B2" s="23" t="s">
        <v>43</v>
      </c>
      <c r="C2" s="23"/>
      <c r="D2" s="23"/>
      <c r="F2" s="4" t="str">
        <f>COUNT($M$13:$M$18)&amp;" of 6 matches entered"</f>
        <v>6 of 6 matches entered</v>
      </c>
    </row>
    <row r="3" ht="30" customHeight="1" spans="1:1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5" spans="1:2" x14ac:dyDescent="0.25">
      <c r="A5" s="6" t="s">
        <v>3</v>
      </c>
      <c r="B5" s="6" t="s">
        <v>4</v>
      </c>
    </row>
    <row r="6" spans="1:2" x14ac:dyDescent="0.25">
      <c r="A6" s="7">
        <v>1</v>
      </c>
      <c r="B6" s="8" t="s">
        <v>44</v>
      </c>
    </row>
    <row r="7" spans="1:2" x14ac:dyDescent="0.25">
      <c r="A7" s="7">
        <v>2</v>
      </c>
      <c r="B7" s="8" t="s">
        <v>45</v>
      </c>
    </row>
    <row r="8" spans="1:2" x14ac:dyDescent="0.25">
      <c r="A8" s="7">
        <v>3</v>
      </c>
      <c r="B8" s="8" t="s">
        <v>46</v>
      </c>
    </row>
    <row r="9" spans="1:2" x14ac:dyDescent="0.25">
      <c r="A9" s="7">
        <v>4</v>
      </c>
      <c r="B9" s="8" t="s">
        <v>47</v>
      </c>
    </row>
    <row r="11" spans="1:1" x14ac:dyDescent="0.25">
      <c r="A11" s="9" t="s">
        <v>9</v>
      </c>
    </row>
    <row r="12" ht="28" customHeight="1" spans="1:14" x14ac:dyDescent="0.25">
      <c r="A12" s="6" t="s">
        <v>10</v>
      </c>
      <c r="B12" s="6" t="s">
        <v>3</v>
      </c>
      <c r="C12" s="10" t="s">
        <v>3</v>
      </c>
      <c r="D12" s="10" t="s">
        <v>5</v>
      </c>
      <c r="E12" s="10" t="s">
        <v>6</v>
      </c>
      <c r="F12" s="10" t="s">
        <v>11</v>
      </c>
      <c r="G12" s="10" t="s">
        <v>12</v>
      </c>
      <c r="H12" s="10" t="s">
        <v>13</v>
      </c>
      <c r="I12" s="10" t="s">
        <v>14</v>
      </c>
      <c r="J12" s="10" t="s">
        <v>15</v>
      </c>
      <c r="M12" s="11" t="s">
        <v>16</v>
      </c>
      <c r="N12" s="11" t="s">
        <v>17</v>
      </c>
    </row>
    <row r="13" spans="1:14" x14ac:dyDescent="0.25">
      <c r="A13" s="12">
        <v>1</v>
      </c>
      <c r="B13" s="12">
        <v>1</v>
      </c>
      <c r="C13" s="12">
        <v>4</v>
      </c>
      <c r="D13" s="7" t="str">
        <f>INDEX($B$6:$B$9,B13)</f>
        <v>Aarav</v>
      </c>
      <c r="E13" s="7" t="str">
        <f>INDEX($B$6:$B$9,C13)</f>
        <v>Kabir</v>
      </c>
      <c r="F13" s="24">
        <v>2</v>
      </c>
      <c r="G13" s="24">
        <v>0</v>
      </c>
      <c r="H13" s="24">
        <v>42</v>
      </c>
      <c r="I13" s="24">
        <v>30</v>
      </c>
      <c r="J13" s="7" t="str">
        <f>IF(F13+G13=0,"",IF(F13&gt;G13,D13,IF(G13&gt;F13,E13,"Check the score")))</f>
        <v>Aarav</v>
      </c>
      <c r="M13" s="14">
        <f>IF(F13+G13=0,"",IF(F13&gt;G13,B13,IF(G13&gt;F13,C13,"")))</f>
        <v>1</v>
      </c>
      <c r="N13" s="14">
        <f>IF(F13+G13=0,"",IF(F13&gt;G13,C13,IF(G13&gt;F13,B13,"")))</f>
        <v>4</v>
      </c>
    </row>
    <row r="14" spans="1:14" x14ac:dyDescent="0.25">
      <c r="A14" s="12">
        <v>1</v>
      </c>
      <c r="B14" s="12">
        <v>2</v>
      </c>
      <c r="C14" s="12">
        <v>3</v>
      </c>
      <c r="D14" s="7" t="str">
        <f>INDEX($B$6:$B$9,B14)</f>
        <v>Vihaan</v>
      </c>
      <c r="E14" s="7" t="str">
        <f>INDEX($B$6:$B$9,C14)</f>
        <v>Arjun</v>
      </c>
      <c r="F14" s="24">
        <v>2</v>
      </c>
      <c r="G14" s="24">
        <v>1</v>
      </c>
      <c r="H14" s="24">
        <v>58</v>
      </c>
      <c r="I14" s="24">
        <v>57</v>
      </c>
      <c r="J14" s="7" t="str">
        <f>IF(F14+G14=0,"",IF(F14&gt;G14,D14,IF(G14&gt;F14,E14,"Check the score")))</f>
        <v>Vihaan</v>
      </c>
      <c r="M14" s="14">
        <f>IF(F14+G14=0,"",IF(F14&gt;G14,B14,IF(G14&gt;F14,C14,"")))</f>
        <v>2</v>
      </c>
      <c r="N14" s="14">
        <f>IF(F14+G14=0,"",IF(F14&gt;G14,C14,IF(G14&gt;F14,B14,"")))</f>
        <v>3</v>
      </c>
    </row>
    <row r="15" spans="1:14" x14ac:dyDescent="0.25">
      <c r="A15" s="12">
        <v>2</v>
      </c>
      <c r="B15" s="12">
        <v>1</v>
      </c>
      <c r="C15" s="12">
        <v>3</v>
      </c>
      <c r="D15" s="7" t="str">
        <f>INDEX($B$6:$B$9,B15)</f>
        <v>Aarav</v>
      </c>
      <c r="E15" s="7" t="str">
        <f>INDEX($B$6:$B$9,C15)</f>
        <v>Arjun</v>
      </c>
      <c r="F15" s="24">
        <v>1</v>
      </c>
      <c r="G15" s="24">
        <v>2</v>
      </c>
      <c r="H15" s="24">
        <v>56</v>
      </c>
      <c r="I15" s="24">
        <v>61</v>
      </c>
      <c r="J15" s="7" t="str">
        <f>IF(F15+G15=0,"",IF(F15&gt;G15,D15,IF(G15&gt;F15,E15,"Check the score")))</f>
        <v>Arjun</v>
      </c>
      <c r="M15" s="14">
        <f>IF(F15+G15=0,"",IF(F15&gt;G15,B15,IF(G15&gt;F15,C15,"")))</f>
        <v>3</v>
      </c>
      <c r="N15" s="14">
        <f>IF(F15+G15=0,"",IF(F15&gt;G15,C15,IF(G15&gt;F15,B15,"")))</f>
        <v>1</v>
      </c>
    </row>
    <row r="16" spans="1:14" x14ac:dyDescent="0.25">
      <c r="A16" s="12">
        <v>2</v>
      </c>
      <c r="B16" s="12">
        <v>2</v>
      </c>
      <c r="C16" s="12">
        <v>4</v>
      </c>
      <c r="D16" s="7" t="str">
        <f>INDEX($B$6:$B$9,B16)</f>
        <v>Vihaan</v>
      </c>
      <c r="E16" s="7" t="str">
        <f>INDEX($B$6:$B$9,C16)</f>
        <v>Kabir</v>
      </c>
      <c r="F16" s="24">
        <v>2</v>
      </c>
      <c r="G16" s="24">
        <v>0</v>
      </c>
      <c r="H16" s="24">
        <v>42</v>
      </c>
      <c r="I16" s="24">
        <v>30</v>
      </c>
      <c r="J16" s="7" t="str">
        <f>IF(F16+G16=0,"",IF(F16&gt;G16,D16,IF(G16&gt;F16,E16,"Check the score")))</f>
        <v>Vihaan</v>
      </c>
      <c r="M16" s="14">
        <f>IF(F16+G16=0,"",IF(F16&gt;G16,B16,IF(G16&gt;F16,C16,"")))</f>
        <v>2</v>
      </c>
      <c r="N16" s="14">
        <f>IF(F16+G16=0,"",IF(F16&gt;G16,C16,IF(G16&gt;F16,B16,"")))</f>
        <v>4</v>
      </c>
    </row>
    <row r="17" spans="1:14" x14ac:dyDescent="0.25">
      <c r="A17" s="12">
        <v>3</v>
      </c>
      <c r="B17" s="12">
        <v>3</v>
      </c>
      <c r="C17" s="12">
        <v>4</v>
      </c>
      <c r="D17" s="7" t="str">
        <f>INDEX($B$6:$B$9,B17)</f>
        <v>Arjun</v>
      </c>
      <c r="E17" s="7" t="str">
        <f>INDEX($B$6:$B$9,C17)</f>
        <v>Kabir</v>
      </c>
      <c r="F17" s="24">
        <v>2</v>
      </c>
      <c r="G17" s="24">
        <v>1</v>
      </c>
      <c r="H17" s="24">
        <v>60</v>
      </c>
      <c r="I17" s="24">
        <v>44</v>
      </c>
      <c r="J17" s="7" t="str">
        <f>IF(F17+G17=0,"",IF(F17&gt;G17,D17,IF(G17&gt;F17,E17,"Check the score")))</f>
        <v>Arjun</v>
      </c>
      <c r="M17" s="14">
        <f>IF(F17+G17=0,"",IF(F17&gt;G17,B17,IF(G17&gt;F17,C17,"")))</f>
        <v>3</v>
      </c>
      <c r="N17" s="14">
        <f>IF(F17+G17=0,"",IF(F17&gt;G17,C17,IF(G17&gt;F17,B17,"")))</f>
        <v>4</v>
      </c>
    </row>
    <row r="18" spans="1:14" x14ac:dyDescent="0.25">
      <c r="A18" s="12">
        <v>3</v>
      </c>
      <c r="B18" s="12">
        <v>1</v>
      </c>
      <c r="C18" s="12">
        <v>2</v>
      </c>
      <c r="D18" s="7" t="str">
        <f>INDEX($B$6:$B$9,B18)</f>
        <v>Aarav</v>
      </c>
      <c r="E18" s="7" t="str">
        <f>INDEX($B$6:$B$9,C18)</f>
        <v>Vihaan</v>
      </c>
      <c r="F18" s="24">
        <v>2</v>
      </c>
      <c r="G18" s="24">
        <v>0</v>
      </c>
      <c r="H18" s="24">
        <v>42</v>
      </c>
      <c r="I18" s="24">
        <v>36</v>
      </c>
      <c r="J18" s="7" t="str">
        <f>IF(F18+G18=0,"",IF(F18&gt;G18,D18,IF(G18&gt;F18,E18,"Check the score")))</f>
        <v>Aarav</v>
      </c>
      <c r="M18" s="14">
        <f>IF(F18+G18=0,"",IF(F18&gt;G18,B18,IF(G18&gt;F18,C18,"")))</f>
        <v>1</v>
      </c>
      <c r="N18" s="14">
        <f>IF(F18+G18=0,"",IF(F18&gt;G18,C18,IF(G18&gt;F18,B18,"")))</f>
        <v>2</v>
      </c>
    </row>
    <row r="20" spans="1:1" x14ac:dyDescent="0.25">
      <c r="A20" s="9" t="s">
        <v>18</v>
      </c>
    </row>
    <row r="21" ht="28" customHeight="1" spans="1:16" x14ac:dyDescent="0.25">
      <c r="A21" s="6" t="s">
        <v>19</v>
      </c>
      <c r="B21" s="6" t="s">
        <v>4</v>
      </c>
      <c r="C21" s="10" t="s">
        <v>20</v>
      </c>
      <c r="D21" s="10" t="s">
        <v>21</v>
      </c>
      <c r="E21" s="10" t="s">
        <v>22</v>
      </c>
      <c r="F21" s="10" t="s">
        <v>23</v>
      </c>
      <c r="G21" s="10" t="s">
        <v>24</v>
      </c>
      <c r="H21" s="10" t="s">
        <v>25</v>
      </c>
      <c r="I21" s="10" t="s">
        <v>26</v>
      </c>
      <c r="J21" s="10" t="s">
        <v>27</v>
      </c>
      <c r="K21" s="10" t="s">
        <v>28</v>
      </c>
      <c r="M21" s="11" t="s">
        <v>29</v>
      </c>
      <c r="N21" s="11" t="s">
        <v>30</v>
      </c>
      <c r="O21" s="11" t="s">
        <v>31</v>
      </c>
      <c r="P21" s="11" t="s">
        <v>32</v>
      </c>
    </row>
    <row r="22" spans="1:16" x14ac:dyDescent="0.25">
      <c r="A22" s="15">
        <f>IF(COUNT($M$13:$M$18)=0,"",1+SUM(B38:B41))</f>
        <v>1</v>
      </c>
      <c r="B22" s="16" t="str">
        <f>B6</f>
        <v>Aarav</v>
      </c>
      <c r="C22" s="17">
        <f>COUNTIF($M$13:$M$18,1)+COUNTIF($N$13:$N$18,1)</f>
        <v>3</v>
      </c>
      <c r="D22" s="17">
        <f>COUNTIF($M$13:$M$18,1)</f>
        <v>2</v>
      </c>
      <c r="E22" s="17">
        <f>SUMIFS($F$13:$F$18,$B$13:$B$18,1)+SUMIFS($G$13:$G$18,$C$13:$C$18,1)</f>
        <v>5</v>
      </c>
      <c r="F22" s="17">
        <f>SUMIFS($G$13:$G$18,$B$13:$B$18,1)+SUMIFS($F$13:$F$18,$C$13:$C$18,1)</f>
        <v>2</v>
      </c>
      <c r="G22" s="17">
        <f>E22-F22</f>
        <v>3</v>
      </c>
      <c r="H22" s="17">
        <f>SUMIFS($H$13:$H$18,$B$13:$B$18,1)+SUMIFS($I$13:$I$18,$C$13:$C$18,1)</f>
        <v>140</v>
      </c>
      <c r="I22" s="17">
        <f>SUMIFS($I$13:$I$18,$B$13:$B$18,1)+SUMIFS($H$13:$H$18,$C$13:$C$18,1)</f>
        <v>127</v>
      </c>
      <c r="J22" s="17">
        <f>H22-I22</f>
        <v>13</v>
      </c>
      <c r="K22" s="16" t="str">
        <f>IF(COUNT($M$13:$M$18)=0,"",IF(M22=1,"Matches won",IF(M22=2,"Head-to-head",IF(N22=1,"Game difference",IF(N22=2,"Game difference, then head-to-head",IF(O22=1,"Point difference",IF(O22=2,"Point difference, then head-to-head","Draw lots")))))))</f>
        <v>Game difference</v>
      </c>
      <c r="M22" s="14">
        <f>COUNTIF($D$22:$D$25,D22)</f>
        <v>3</v>
      </c>
      <c r="N22" s="14">
        <f>COUNTIFS($D$22:$D$25,D22,$G$22:$G$25,G22)</f>
        <v>1</v>
      </c>
      <c r="O22" s="14">
        <f>COUNTIFS($D$22:$D$25,D22,$G$22:$G$25,G22,$J$22:$J$25,J22)</f>
        <v>1</v>
      </c>
      <c r="P22" s="14">
        <f>IF(A22="","",A22*10+1)</f>
        <v>11</v>
      </c>
    </row>
    <row r="23" spans="1:16" x14ac:dyDescent="0.25">
      <c r="A23" s="15">
        <f>IF(COUNT($M$13:$M$18)=0,"",1+SUM(C38:C41))</f>
        <v>2</v>
      </c>
      <c r="B23" s="16" t="str">
        <f>B7</f>
        <v>Vihaan</v>
      </c>
      <c r="C23" s="17">
        <f>COUNTIF($M$13:$M$18,2)+COUNTIF($N$13:$N$18,2)</f>
        <v>3</v>
      </c>
      <c r="D23" s="17">
        <f>COUNTIF($M$13:$M$18,2)</f>
        <v>2</v>
      </c>
      <c r="E23" s="17">
        <f>SUMIFS($F$13:$F$18,$B$13:$B$18,2)+SUMIFS($G$13:$G$18,$C$13:$C$18,2)</f>
        <v>4</v>
      </c>
      <c r="F23" s="17">
        <f>SUMIFS($G$13:$G$18,$B$13:$B$18,2)+SUMIFS($F$13:$F$18,$C$13:$C$18,2)</f>
        <v>3</v>
      </c>
      <c r="G23" s="17">
        <f>E23-F23</f>
        <v>1</v>
      </c>
      <c r="H23" s="17">
        <f>SUMIFS($H$13:$H$18,$B$13:$B$18,2)+SUMIFS($I$13:$I$18,$C$13:$C$18,2)</f>
        <v>136</v>
      </c>
      <c r="I23" s="17">
        <f>SUMIFS($I$13:$I$18,$B$13:$B$18,2)+SUMIFS($H$13:$H$18,$C$13:$C$18,2)</f>
        <v>129</v>
      </c>
      <c r="J23" s="17">
        <f>H23-I23</f>
        <v>7</v>
      </c>
      <c r="K23" s="16" t="str">
        <f>IF(COUNT($M$13:$M$18)=0,"",IF(M23=1,"Matches won",IF(M23=2,"Head-to-head",IF(N23=1,"Game difference",IF(N23=2,"Game difference, then head-to-head",IF(O23=1,"Point difference",IF(O23=2,"Point difference, then head-to-head","Draw lots")))))))</f>
        <v>Game difference, then head-to-head</v>
      </c>
      <c r="M23" s="14">
        <f>COUNTIF($D$22:$D$25,D23)</f>
        <v>3</v>
      </c>
      <c r="N23" s="14">
        <f>COUNTIFS($D$22:$D$25,D23,$G$22:$G$25,G23)</f>
        <v>2</v>
      </c>
      <c r="O23" s="14">
        <f>COUNTIFS($D$22:$D$25,D23,$G$22:$G$25,G23,$J$22:$J$25,J23)</f>
        <v>1</v>
      </c>
      <c r="P23" s="14">
        <f>IF(A23="","",A23*10+2)</f>
        <v>22</v>
      </c>
    </row>
    <row r="24" spans="1:16" x14ac:dyDescent="0.25">
      <c r="A24" s="15">
        <f>IF(COUNT($M$13:$M$18)=0,"",1+SUM(D38:D41))</f>
        <v>3</v>
      </c>
      <c r="B24" s="16" t="str">
        <f>B8</f>
        <v>Arjun</v>
      </c>
      <c r="C24" s="17">
        <f>COUNTIF($M$13:$M$18,3)+COUNTIF($N$13:$N$18,3)</f>
        <v>3</v>
      </c>
      <c r="D24" s="17">
        <f>COUNTIF($M$13:$M$18,3)</f>
        <v>2</v>
      </c>
      <c r="E24" s="17">
        <f>SUMIFS($F$13:$F$18,$B$13:$B$18,3)+SUMIFS($G$13:$G$18,$C$13:$C$18,3)</f>
        <v>5</v>
      </c>
      <c r="F24" s="17">
        <f>SUMIFS($G$13:$G$18,$B$13:$B$18,3)+SUMIFS($F$13:$F$18,$C$13:$C$18,3)</f>
        <v>4</v>
      </c>
      <c r="G24" s="17">
        <f>E24-F24</f>
        <v>1</v>
      </c>
      <c r="H24" s="17">
        <f>SUMIFS($H$13:$H$18,$B$13:$B$18,3)+SUMIFS($I$13:$I$18,$C$13:$C$18,3)</f>
        <v>178</v>
      </c>
      <c r="I24" s="17">
        <f>SUMIFS($I$13:$I$18,$B$13:$B$18,3)+SUMIFS($H$13:$H$18,$C$13:$C$18,3)</f>
        <v>158</v>
      </c>
      <c r="J24" s="17">
        <f>H24-I24</f>
        <v>20</v>
      </c>
      <c r="K24" s="16" t="str">
        <f>IF(COUNT($M$13:$M$18)=0,"",IF(M24=1,"Matches won",IF(M24=2,"Head-to-head",IF(N24=1,"Game difference",IF(N24=2,"Game difference, then head-to-head",IF(O24=1,"Point difference",IF(O24=2,"Point difference, then head-to-head","Draw lots")))))))</f>
        <v>Game difference, then head-to-head</v>
      </c>
      <c r="M24" s="14">
        <f>COUNTIF($D$22:$D$25,D24)</f>
        <v>3</v>
      </c>
      <c r="N24" s="14">
        <f>COUNTIFS($D$22:$D$25,D24,$G$22:$G$25,G24)</f>
        <v>2</v>
      </c>
      <c r="O24" s="14">
        <f>COUNTIFS($D$22:$D$25,D24,$G$22:$G$25,G24,$J$22:$J$25,J24)</f>
        <v>1</v>
      </c>
      <c r="P24" s="14">
        <f>IF(A24="","",A24*10+3)</f>
        <v>33</v>
      </c>
    </row>
    <row r="25" spans="1:16" x14ac:dyDescent="0.25">
      <c r="A25" s="15">
        <f>IF(COUNT($M$13:$M$18)=0,"",1+SUM(E38:E41))</f>
        <v>4</v>
      </c>
      <c r="B25" s="16" t="str">
        <f>B9</f>
        <v>Kabir</v>
      </c>
      <c r="C25" s="17">
        <f>COUNTIF($M$13:$M$18,4)+COUNTIF($N$13:$N$18,4)</f>
        <v>3</v>
      </c>
      <c r="D25" s="17">
        <f>COUNTIF($M$13:$M$18,4)</f>
        <v>0</v>
      </c>
      <c r="E25" s="17">
        <f>SUMIFS($F$13:$F$18,$B$13:$B$18,4)+SUMIFS($G$13:$G$18,$C$13:$C$18,4)</f>
        <v>1</v>
      </c>
      <c r="F25" s="17">
        <f>SUMIFS($G$13:$G$18,$B$13:$B$18,4)+SUMIFS($F$13:$F$18,$C$13:$C$18,4)</f>
        <v>6</v>
      </c>
      <c r="G25" s="17">
        <f>E25-F25</f>
        <v>-5</v>
      </c>
      <c r="H25" s="17">
        <f>SUMIFS($H$13:$H$18,$B$13:$B$18,4)+SUMIFS($I$13:$I$18,$C$13:$C$18,4)</f>
        <v>104</v>
      </c>
      <c r="I25" s="17">
        <f>SUMIFS($I$13:$I$18,$B$13:$B$18,4)+SUMIFS($H$13:$H$18,$C$13:$C$18,4)</f>
        <v>144</v>
      </c>
      <c r="J25" s="17">
        <f>H25-I25</f>
        <v>-40</v>
      </c>
      <c r="K25" s="16" t="str">
        <f>IF(COUNT($M$13:$M$18)=0,"",IF(M25=1,"Matches won",IF(M25=2,"Head-to-head",IF(N25=1,"Game difference",IF(N25=2,"Game difference, then head-to-head",IF(O25=1,"Point difference",IF(O25=2,"Point difference, then head-to-head","Draw lots")))))))</f>
        <v>Matches won</v>
      </c>
      <c r="M25" s="14">
        <f>COUNTIF($D$22:$D$25,D25)</f>
        <v>1</v>
      </c>
      <c r="N25" s="14">
        <f>COUNTIFS($D$22:$D$25,D25,$G$22:$G$25,G25)</f>
        <v>1</v>
      </c>
      <c r="O25" s="14">
        <f>COUNTIFS($D$22:$D$25,D25,$G$22:$G$25,G25,$J$22:$J$25,J25)</f>
        <v>1</v>
      </c>
      <c r="P25" s="14">
        <f>IF(A25="","",A25*10+4)</f>
        <v>44</v>
      </c>
    </row>
    <row r="28" spans="1:1" x14ac:dyDescent="0.25">
      <c r="A28" s="9" t="s">
        <v>33</v>
      </c>
    </row>
    <row r="29" spans="1:6" x14ac:dyDescent="0.25">
      <c r="A29" s="6" t="s">
        <v>34</v>
      </c>
      <c r="B29" s="6" t="s">
        <v>4</v>
      </c>
      <c r="C29" s="10" t="s">
        <v>21</v>
      </c>
      <c r="D29" s="10" t="s">
        <v>24</v>
      </c>
      <c r="E29" s="10" t="s">
        <v>27</v>
      </c>
      <c r="F29" s="10" t="s">
        <v>28</v>
      </c>
    </row>
    <row r="30" spans="1:6" x14ac:dyDescent="0.25">
      <c r="A30" s="18">
        <f>IFERROR(INDEX($A$22:$A$25,MATCH(SMALL($P$22:$P$25,1),$P$22:$P$25,0)),"")</f>
        <v>1</v>
      </c>
      <c r="B30" s="19" t="str">
        <f>IFERROR(INDEX($B$22:$B$25,MATCH(SMALL($P$22:$P$25,1),$P$22:$P$25,0)),"")</f>
        <v>Aarav</v>
      </c>
      <c r="C30" s="17">
        <f>IFERROR(INDEX($D$22:$D$25,MATCH(SMALL($P$22:$P$25,1),$P$22:$P$25,0)),"")</f>
        <v>2</v>
      </c>
      <c r="D30" s="17">
        <f>IFERROR(INDEX($G$22:$G$25,MATCH(SMALL($P$22:$P$25,1),$P$22:$P$25,0)),"")</f>
        <v>3</v>
      </c>
      <c r="E30" s="17">
        <f>IFERROR(INDEX($J$22:$J$25,MATCH(SMALL($P$22:$P$25,1),$P$22:$P$25,0)),"")</f>
        <v>13</v>
      </c>
      <c r="F30" s="16" t="str">
        <f>IFERROR(INDEX($K$22:$K$25,MATCH(SMALL($P$22:$P$25,1),$P$22:$P$25,0)),"")</f>
        <v>Game difference</v>
      </c>
    </row>
    <row r="31" spans="1:6" x14ac:dyDescent="0.25">
      <c r="A31" s="18">
        <f>IFERROR(INDEX($A$22:$A$25,MATCH(SMALL($P$22:$P$25,2),$P$22:$P$25,0)),"")</f>
        <v>2</v>
      </c>
      <c r="B31" s="19" t="str">
        <f>IFERROR(INDEX($B$22:$B$25,MATCH(SMALL($P$22:$P$25,2),$P$22:$P$25,0)),"")</f>
        <v>Vihaan</v>
      </c>
      <c r="C31" s="17">
        <f>IFERROR(INDEX($D$22:$D$25,MATCH(SMALL($P$22:$P$25,2),$P$22:$P$25,0)),"")</f>
        <v>2</v>
      </c>
      <c r="D31" s="17">
        <f>IFERROR(INDEX($G$22:$G$25,MATCH(SMALL($P$22:$P$25,2),$P$22:$P$25,0)),"")</f>
        <v>1</v>
      </c>
      <c r="E31" s="17">
        <f>IFERROR(INDEX($J$22:$J$25,MATCH(SMALL($P$22:$P$25,2),$P$22:$P$25,0)),"")</f>
        <v>7</v>
      </c>
      <c r="F31" s="16" t="str">
        <f>IFERROR(INDEX($K$22:$K$25,MATCH(SMALL($P$22:$P$25,2),$P$22:$P$25,0)),"")</f>
        <v>Game difference, then head-to-head</v>
      </c>
    </row>
    <row r="32" spans="1:6" x14ac:dyDescent="0.25">
      <c r="A32" s="18">
        <f>IFERROR(INDEX($A$22:$A$25,MATCH(SMALL($P$22:$P$25,3),$P$22:$P$25,0)),"")</f>
        <v>3</v>
      </c>
      <c r="B32" s="19" t="str">
        <f>IFERROR(INDEX($B$22:$B$25,MATCH(SMALL($P$22:$P$25,3),$P$22:$P$25,0)),"")</f>
        <v>Arjun</v>
      </c>
      <c r="C32" s="17">
        <f>IFERROR(INDEX($D$22:$D$25,MATCH(SMALL($P$22:$P$25,3),$P$22:$P$25,0)),"")</f>
        <v>2</v>
      </c>
      <c r="D32" s="17">
        <f>IFERROR(INDEX($G$22:$G$25,MATCH(SMALL($P$22:$P$25,3),$P$22:$P$25,0)),"")</f>
        <v>1</v>
      </c>
      <c r="E32" s="17">
        <f>IFERROR(INDEX($J$22:$J$25,MATCH(SMALL($P$22:$P$25,3),$P$22:$P$25,0)),"")</f>
        <v>20</v>
      </c>
      <c r="F32" s="16" t="str">
        <f>IFERROR(INDEX($K$22:$K$25,MATCH(SMALL($P$22:$P$25,3),$P$22:$P$25,0)),"")</f>
        <v>Game difference, then head-to-head</v>
      </c>
    </row>
    <row r="33" spans="1:6" x14ac:dyDescent="0.25">
      <c r="A33" s="18">
        <f>IFERROR(INDEX($A$22:$A$25,MATCH(SMALL($P$22:$P$25,4),$P$22:$P$25,0)),"")</f>
        <v>4</v>
      </c>
      <c r="B33" s="19" t="str">
        <f>IFERROR(INDEX($B$22:$B$25,MATCH(SMALL($P$22:$P$25,4),$P$22:$P$25,0)),"")</f>
        <v>Kabir</v>
      </c>
      <c r="C33" s="17">
        <f>IFERROR(INDEX($D$22:$D$25,MATCH(SMALL($P$22:$P$25,4),$P$22:$P$25,0)),"")</f>
        <v>0</v>
      </c>
      <c r="D33" s="17">
        <f>IFERROR(INDEX($G$22:$G$25,MATCH(SMALL($P$22:$P$25,4),$P$22:$P$25,0)),"")</f>
        <v>-5</v>
      </c>
      <c r="E33" s="17">
        <f>IFERROR(INDEX($J$22:$J$25,MATCH(SMALL($P$22:$P$25,4),$P$22:$P$25,0)),"")</f>
        <v>-40</v>
      </c>
      <c r="F33" s="16" t="str">
        <f>IFERROR(INDEX($K$22:$K$25,MATCH(SMALL($P$22:$P$25,4),$P$22:$P$25,0)),"")</f>
        <v>Matches won</v>
      </c>
    </row>
    <row r="36" spans="1:1" x14ac:dyDescent="0.25">
      <c r="A36" s="20" t="s">
        <v>35</v>
      </c>
    </row>
    <row r="37" spans="1:5" x14ac:dyDescent="0.25">
      <c r="A37" s="21"/>
      <c r="B37" s="14" t="str">
        <f>B6</f>
        <v>Aarav</v>
      </c>
      <c r="C37" s="14" t="str">
        <f>B7</f>
        <v>Vihaan</v>
      </c>
      <c r="D37" s="14" t="str">
        <f>B8</f>
        <v>Arjun</v>
      </c>
      <c r="E37" s="14" t="str">
        <f>B9</f>
        <v>Kabir</v>
      </c>
    </row>
    <row r="38" spans="1:5" x14ac:dyDescent="0.25">
      <c r="A38" s="21" t="str">
        <f>B6</f>
        <v>Aarav</v>
      </c>
      <c r="B38" s="14">
        <v>0</v>
      </c>
      <c r="C38" s="14">
        <f>IF(OR($D$22&gt;$D$23,AND($D$22=$D$23,$M$23=2,COUNTIFS($M$13:$M$18,1,$N$13:$N$18,2)=1),AND($D$22=$D$23,$M$23&gt;=3,$G$22&gt;$G$23),AND($D$22=$D$23,$M$23&gt;=3,$G$22=$G$23,$N$23=2,COUNTIFS($M$13:$M$18,1,$N$13:$N$18,2)=1),AND($D$22=$D$23,$M$23&gt;=3,$G$22=$G$23,$N$23&gt;=3,$J$22&gt;$J$23),AND($D$22=$D$23,$M$23&gt;=3,$G$22=$G$23,$N$23&gt;=3,$J$22=$J$23,$O$23=2,COUNTIFS($M$13:$M$18,1,$N$13:$N$18,2)=1)),1,0)</f>
        <v>1</v>
      </c>
      <c r="D38" s="14">
        <f>IF(OR($D$22&gt;$D$24,AND($D$22=$D$24,$M$24=2,COUNTIFS($M$13:$M$18,1,$N$13:$N$18,3)=1),AND($D$22=$D$24,$M$24&gt;=3,$G$22&gt;$G$24),AND($D$22=$D$24,$M$24&gt;=3,$G$22=$G$24,$N$24=2,COUNTIFS($M$13:$M$18,1,$N$13:$N$18,3)=1),AND($D$22=$D$24,$M$24&gt;=3,$G$22=$G$24,$N$24&gt;=3,$J$22&gt;$J$24),AND($D$22=$D$24,$M$24&gt;=3,$G$22=$G$24,$N$24&gt;=3,$J$22=$J$24,$O$24=2,COUNTIFS($M$13:$M$18,1,$N$13:$N$18,3)=1)),1,0)</f>
        <v>1</v>
      </c>
      <c r="E38" s="14">
        <f>IF(OR($D$22&gt;$D$25,AND($D$22=$D$25,$M$25=2,COUNTIFS($M$13:$M$18,1,$N$13:$N$18,4)=1),AND($D$22=$D$25,$M$25&gt;=3,$G$22&gt;$G$25),AND($D$22=$D$25,$M$25&gt;=3,$G$22=$G$25,$N$25=2,COUNTIFS($M$13:$M$18,1,$N$13:$N$18,4)=1),AND($D$22=$D$25,$M$25&gt;=3,$G$22=$G$25,$N$25&gt;=3,$J$22&gt;$J$25),AND($D$22=$D$25,$M$25&gt;=3,$G$22=$G$25,$N$25&gt;=3,$J$22=$J$25,$O$25=2,COUNTIFS($M$13:$M$18,1,$N$13:$N$18,4)=1)),1,0)</f>
        <v>1</v>
      </c>
    </row>
    <row r="39" spans="1:5" x14ac:dyDescent="0.25">
      <c r="A39" s="21" t="str">
        <f>B7</f>
        <v>Vihaan</v>
      </c>
      <c r="B39" s="14">
        <f>IF(OR($D$23&gt;$D$22,AND($D$23=$D$22,$M$22=2,COUNTIFS($M$13:$M$18,2,$N$13:$N$18,1)=1),AND($D$23=$D$22,$M$22&gt;=3,$G$23&gt;$G$22),AND($D$23=$D$22,$M$22&gt;=3,$G$23=$G$22,$N$22=2,COUNTIFS($M$13:$M$18,2,$N$13:$N$18,1)=1),AND($D$23=$D$22,$M$22&gt;=3,$G$23=$G$22,$N$22&gt;=3,$J$23&gt;$J$22),AND($D$23=$D$22,$M$22&gt;=3,$G$23=$G$22,$N$22&gt;=3,$J$23=$J$22,$O$22=2,COUNTIFS($M$13:$M$18,2,$N$13:$N$18,1)=1)),1,0)</f>
        <v>0</v>
      </c>
      <c r="C39" s="14">
        <v>0</v>
      </c>
      <c r="D39" s="14">
        <f>IF(OR($D$23&gt;$D$24,AND($D$23=$D$24,$M$24=2,COUNTIFS($M$13:$M$18,2,$N$13:$N$18,3)=1),AND($D$23=$D$24,$M$24&gt;=3,$G$23&gt;$G$24),AND($D$23=$D$24,$M$24&gt;=3,$G$23=$G$24,$N$24=2,COUNTIFS($M$13:$M$18,2,$N$13:$N$18,3)=1),AND($D$23=$D$24,$M$24&gt;=3,$G$23=$G$24,$N$24&gt;=3,$J$23&gt;$J$24),AND($D$23=$D$24,$M$24&gt;=3,$G$23=$G$24,$N$24&gt;=3,$J$23=$J$24,$O$24=2,COUNTIFS($M$13:$M$18,2,$N$13:$N$18,3)=1)),1,0)</f>
        <v>1</v>
      </c>
      <c r="E39" s="14">
        <f>IF(OR($D$23&gt;$D$25,AND($D$23=$D$25,$M$25=2,COUNTIFS($M$13:$M$18,2,$N$13:$N$18,4)=1),AND($D$23=$D$25,$M$25&gt;=3,$G$23&gt;$G$25),AND($D$23=$D$25,$M$25&gt;=3,$G$23=$G$25,$N$25=2,COUNTIFS($M$13:$M$18,2,$N$13:$N$18,4)=1),AND($D$23=$D$25,$M$25&gt;=3,$G$23=$G$25,$N$25&gt;=3,$J$23&gt;$J$25),AND($D$23=$D$25,$M$25&gt;=3,$G$23=$G$25,$N$25&gt;=3,$J$23=$J$25,$O$25=2,COUNTIFS($M$13:$M$18,2,$N$13:$N$18,4)=1)),1,0)</f>
        <v>1</v>
      </c>
    </row>
    <row r="40" spans="1:5" x14ac:dyDescent="0.25">
      <c r="A40" s="21" t="str">
        <f>B8</f>
        <v>Arjun</v>
      </c>
      <c r="B40" s="14">
        <f>IF(OR($D$24&gt;$D$22,AND($D$24=$D$22,$M$22=2,COUNTIFS($M$13:$M$18,3,$N$13:$N$18,1)=1),AND($D$24=$D$22,$M$22&gt;=3,$G$24&gt;$G$22),AND($D$24=$D$22,$M$22&gt;=3,$G$24=$G$22,$N$22=2,COUNTIFS($M$13:$M$18,3,$N$13:$N$18,1)=1),AND($D$24=$D$22,$M$22&gt;=3,$G$24=$G$22,$N$22&gt;=3,$J$24&gt;$J$22),AND($D$24=$D$22,$M$22&gt;=3,$G$24=$G$22,$N$22&gt;=3,$J$24=$J$22,$O$22=2,COUNTIFS($M$13:$M$18,3,$N$13:$N$18,1)=1)),1,0)</f>
        <v>0</v>
      </c>
      <c r="C40" s="14">
        <f>IF(OR($D$24&gt;$D$23,AND($D$24=$D$23,$M$23=2,COUNTIFS($M$13:$M$18,3,$N$13:$N$18,2)=1),AND($D$24=$D$23,$M$23&gt;=3,$G$24&gt;$G$23),AND($D$24=$D$23,$M$23&gt;=3,$G$24=$G$23,$N$23=2,COUNTIFS($M$13:$M$18,3,$N$13:$N$18,2)=1),AND($D$24=$D$23,$M$23&gt;=3,$G$24=$G$23,$N$23&gt;=3,$J$24&gt;$J$23),AND($D$24=$D$23,$M$23&gt;=3,$G$24=$G$23,$N$23&gt;=3,$J$24=$J$23,$O$23=2,COUNTIFS($M$13:$M$18,3,$N$13:$N$18,2)=1)),1,0)</f>
        <v>0</v>
      </c>
      <c r="D40" s="14">
        <v>0</v>
      </c>
      <c r="E40" s="14">
        <f>IF(OR($D$24&gt;$D$25,AND($D$24=$D$25,$M$25=2,COUNTIFS($M$13:$M$18,3,$N$13:$N$18,4)=1),AND($D$24=$D$25,$M$25&gt;=3,$G$24&gt;$G$25),AND($D$24=$D$25,$M$25&gt;=3,$G$24=$G$25,$N$25=2,COUNTIFS($M$13:$M$18,3,$N$13:$N$18,4)=1),AND($D$24=$D$25,$M$25&gt;=3,$G$24=$G$25,$N$25&gt;=3,$J$24&gt;$J$25),AND($D$24=$D$25,$M$25&gt;=3,$G$24=$G$25,$N$25&gt;=3,$J$24=$J$25,$O$25=2,COUNTIFS($M$13:$M$18,3,$N$13:$N$18,4)=1)),1,0)</f>
        <v>1</v>
      </c>
    </row>
    <row r="41" spans="1:5" x14ac:dyDescent="0.25">
      <c r="A41" s="21" t="str">
        <f>B9</f>
        <v>Kabir</v>
      </c>
      <c r="B41" s="14">
        <f>IF(OR($D$25&gt;$D$22,AND($D$25=$D$22,$M$22=2,COUNTIFS($M$13:$M$18,4,$N$13:$N$18,1)=1),AND($D$25=$D$22,$M$22&gt;=3,$G$25&gt;$G$22),AND($D$25=$D$22,$M$22&gt;=3,$G$25=$G$22,$N$22=2,COUNTIFS($M$13:$M$18,4,$N$13:$N$18,1)=1),AND($D$25=$D$22,$M$22&gt;=3,$G$25=$G$22,$N$22&gt;=3,$J$25&gt;$J$22),AND($D$25=$D$22,$M$22&gt;=3,$G$25=$G$22,$N$22&gt;=3,$J$25=$J$22,$O$22=2,COUNTIFS($M$13:$M$18,4,$N$13:$N$18,1)=1)),1,0)</f>
        <v>0</v>
      </c>
      <c r="C41" s="14">
        <f>IF(OR($D$25&gt;$D$23,AND($D$25=$D$23,$M$23=2,COUNTIFS($M$13:$M$18,4,$N$13:$N$18,2)=1),AND($D$25=$D$23,$M$23&gt;=3,$G$25&gt;$G$23),AND($D$25=$D$23,$M$23&gt;=3,$G$25=$G$23,$N$23=2,COUNTIFS($M$13:$M$18,4,$N$13:$N$18,2)=1),AND($D$25=$D$23,$M$23&gt;=3,$G$25=$G$23,$N$23&gt;=3,$J$25&gt;$J$23),AND($D$25=$D$23,$M$23&gt;=3,$G$25=$G$23,$N$23&gt;=3,$J$25=$J$23,$O$23=2,COUNTIFS($M$13:$M$18,4,$N$13:$N$18,2)=1)),1,0)</f>
        <v>0</v>
      </c>
      <c r="D41" s="14">
        <f>IF(OR($D$25&gt;$D$24,AND($D$25=$D$24,$M$24=2,COUNTIFS($M$13:$M$18,4,$N$13:$N$18,3)=1),AND($D$25=$D$24,$M$24&gt;=3,$G$25&gt;$G$24),AND($D$25=$D$24,$M$24&gt;=3,$G$25=$G$24,$N$24=2,COUNTIFS($M$13:$M$18,4,$N$13:$N$18,3)=1),AND($D$25=$D$24,$M$24&gt;=3,$G$25=$G$24,$N$24&gt;=3,$J$25&gt;$J$24),AND($D$25=$D$24,$M$24&gt;=3,$G$25=$G$24,$N$24&gt;=3,$J$25=$J$24,$O$24=2,COUNTIFS($M$13:$M$18,4,$N$13:$N$18,3)=1)),1,0)</f>
        <v>0</v>
      </c>
      <c r="E41" s="14">
        <v>0</v>
      </c>
    </row>
    <row r="44" spans="1:1" x14ac:dyDescent="0.25">
      <c r="A44" s="2" t="s">
        <v>36</v>
      </c>
    </row>
    <row r="45" spans="1:1" x14ac:dyDescent="0.25">
      <c r="A45" s="22" t="s">
        <v>37</v>
      </c>
    </row>
    <row r="46" spans="1:1" x14ac:dyDescent="0.25">
      <c r="A46" s="22" t="s">
        <v>38</v>
      </c>
    </row>
    <row r="47" spans="1:1" x14ac:dyDescent="0.25">
      <c r="A47" s="22" t="s">
        <v>39</v>
      </c>
    </row>
    <row r="48" spans="1:1" x14ac:dyDescent="0.25">
      <c r="A48" s="22" t="s">
        <v>40</v>
      </c>
    </row>
    <row r="49" spans="1:1" x14ac:dyDescent="0.25">
      <c r="A49" s="22" t="s">
        <v>41</v>
      </c>
    </row>
    <row r="50" spans="1:1" x14ac:dyDescent="0.25">
      <c r="A50" s="22" t="s">
        <v>42</v>
      </c>
    </row>
  </sheetData>
  <mergeCells count="2">
    <mergeCell ref="B2:D2"/>
    <mergeCell ref="A3:K3"/>
  </mergeCells>
  <conditionalFormatting sqref="A30:F31">
    <cfRule type="expression" dxfId="1" priority="1">
      <formula>$B30&lt;&gt;""</formula>
    </cfRule>
  </conditionalFormatting>
  <dataValidations count="2">
    <dataValidation type="whole" allowBlank="1" showErrorMessage="1" errorTitle="Games" error="Enter the games won, from 0 to 2." sqref="F13:G18">
      <formula1>0</formula1>
      <formula2>2</formula2>
    </dataValidation>
    <dataValidation type="whole" allowBlank="1" showErrorMessage="1" errorTitle="Points" error="Enter the total points scored across all games of the match." sqref="H13:I18">
      <formula1>0</formula1>
      <formula2>120</formula2>
    </dataValidation>
  </dataValidation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Group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SmashIQ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2026-10-24T11:27:58Z</dcterms:modified>
</cp:coreProperties>
</file>